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527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<sst xmlns="http://schemas.openxmlformats.org/spreadsheetml/2006/main" count="77" uniqueCount="75">
  <si>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Percentage of mature herd that must be replaced to keep herd size steady</t>
  </si>
  <si>
    <t>Number of pregnant replacements needed</t>
  </si>
  <si>
    <t>Current Production &amp; Economic Profile</t>
  </si>
  <si>
    <t>Number of heifers started in replacement pool after weaning</t>
  </si>
  <si>
    <t>Number of heifers exposed to a bull</t>
  </si>
  <si>
    <t>Pregnancy rate for heifers (yearlings)</t>
  </si>
  <si>
    <t>Annual variable cost for 2nd calf heifer</t>
  </si>
  <si>
    <t>Number of calves sold in primary market</t>
  </si>
  <si>
    <t>Average cow age in herd (years)</t>
  </si>
  <si>
    <t>Number of cows (2 years and greater) exposed to a bull</t>
  </si>
  <si>
    <t>$ over all costs (profit) for herd</t>
  </si>
  <si>
    <t>Weight of calves sold in primary market (Lbs.)</t>
  </si>
  <si>
    <t>Weight of cows sold in cull market (Lbs.)</t>
  </si>
  <si>
    <t>Variable cost post weaning for replacement heifer that enters herd</t>
  </si>
  <si>
    <t>Return to fixed cost including ownership and mangement per cow/heifer exposed</t>
  </si>
  <si>
    <t>Desired Profile</t>
  </si>
  <si>
    <t>Percentage of females exposed to bulls that wean a calf</t>
  </si>
  <si>
    <t>Current</t>
  </si>
  <si>
    <t>Desired</t>
  </si>
  <si>
    <t>Income from calves sold at primary marketing</t>
  </si>
  <si>
    <t xml:space="preserve">Income from calves sold at secondary marketing </t>
  </si>
  <si>
    <t>Income from cull 3-year olds</t>
  </si>
  <si>
    <t>Income from cull 2-year olds</t>
  </si>
  <si>
    <t>Income from cull 4-year olds</t>
  </si>
  <si>
    <t>Income from cull 5-year olds</t>
  </si>
  <si>
    <t>Income from cull 6-year olds</t>
  </si>
  <si>
    <t>Income from cull 7-year olds</t>
  </si>
  <si>
    <t>Income from cull 8-year olds</t>
  </si>
  <si>
    <t>Income from cull 9-year olds</t>
  </si>
  <si>
    <t>Income from cull 10-year olds</t>
  </si>
  <si>
    <t>Income from cull &gt;10-year olds</t>
  </si>
  <si>
    <t>Calculated number of pregnant heifers entering herd</t>
  </si>
  <si>
    <t>Number of pregnant heifers needed to keep herd size constant</t>
  </si>
  <si>
    <t>Number of open heifers sold at first preg check</t>
  </si>
  <si>
    <t>Weight of open heifers sold at first preg check (Lbs.)</t>
  </si>
  <si>
    <t>Number of pregnant heifers sold at first preg check</t>
  </si>
  <si>
    <t>Value of pregnant heifers sold at first preg check ($/head)</t>
  </si>
  <si>
    <t>Income from open heifers sold at preg check</t>
  </si>
  <si>
    <t>Income from pregnant heifers sold at preg check</t>
  </si>
  <si>
    <t>Annual variable cost for mature cows</t>
  </si>
  <si>
    <t>Annual variable cost for 2nd calf heifers</t>
  </si>
  <si>
    <t>Variable cost post weaning for replacement heifers that enters herd</t>
  </si>
  <si>
    <t>Variable cost post weaning for heifers sold at second exit point</t>
  </si>
  <si>
    <t>Variable cost post weaning for open and pregnant heifers sold at preg check</t>
  </si>
  <si>
    <t>Variable cost post weaning for heifer sold at preg check</t>
  </si>
  <si>
    <t>Variable cost post weaning for heifer sold at another exit point</t>
  </si>
  <si>
    <t>Weight of heifers sold in another secondary market (Lbs.)</t>
  </si>
  <si>
    <t>age</t>
  </si>
  <si>
    <t>Determining the Value of Heifer Development Systems</t>
  </si>
  <si>
    <t>Annual variable cost for mature cow (includes calf to weaning)</t>
  </si>
  <si>
    <t>Results</t>
  </si>
  <si>
    <t>Price for heifers sold in another secondary market ($/cwt.; 5year average)</t>
  </si>
  <si>
    <t>Price for open heifers sold at first preg check ($/cwt.; 5 year average)</t>
  </si>
  <si>
    <t>Price for cows sold in cull market ($/cwt.; 5 year average)</t>
  </si>
  <si>
    <t>Price for calves sold in primary market ($/cwt; 5 year average)</t>
  </si>
  <si>
    <t>Bob L. Larson, DVM, PhD</t>
  </si>
  <si>
    <t>Difference between heifers retained and heifers exposed to bull</t>
  </si>
  <si>
    <t>What is a heifer in your herd worth at weaning (you must enter a value here)?</t>
  </si>
  <si>
    <t>How much could you spend per pregnant heifer from weaning to 1st calving to reach desired scenario and still break even with the current situation/profile?</t>
  </si>
  <si>
    <t>How much could you spend for heifer development (herd) to move to the desired scenario and still break even with current situation/profile?</t>
  </si>
  <si>
    <t>How much could you spend to purchase a bred heifer just prior to calving that fits the desired scenario and still break even with the current situation/profile?</t>
  </si>
  <si>
    <r>
      <t xml:space="preserve">How much </t>
    </r>
    <r>
      <rPr>
        <u val="single"/>
        <sz val="10"/>
        <rFont val="Arial"/>
        <family val="2"/>
      </rPr>
      <t>more</t>
    </r>
    <r>
      <rPr>
        <sz val="10"/>
        <rFont val="Arial"/>
        <family val="0"/>
      </rPr>
      <t xml:space="preserve"> per pregnant heifer could you spend from weaning to 1st calving to reach desired scenario and still break even with the current situation/profile?</t>
    </r>
  </si>
  <si>
    <t>Number of heifers sold at another secondary market (another exit point)</t>
  </si>
  <si>
    <t>College of Veterinary Medicine</t>
  </si>
  <si>
    <t>Kansas State University</t>
  </si>
  <si>
    <t>Pregnancy / retain percentage for 2-year olds</t>
  </si>
  <si>
    <t>Pregnancy / retain percentage for 3-year olds</t>
  </si>
  <si>
    <t>Pregnancy / retain percentage for 4-year olds</t>
  </si>
  <si>
    <t>Pregnancy / retain percentage fo 5-year olds</t>
  </si>
  <si>
    <t>Pregnancy / retain percentage for 6-year olds</t>
  </si>
  <si>
    <t>Pregnancy / retain percentage for 7-year olds</t>
  </si>
  <si>
    <t>Pregnancy / retain percentage for 8-year olds</t>
  </si>
  <si>
    <t>Pregnancy / retain percentage for 9- year olds</t>
  </si>
  <si>
    <t>Pregnancy / retain percentage 10-year olds</t>
  </si>
  <si>
    <t>Pregnancy / retain percentage fo cows &gt; 10 years old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</si>
</sst>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.00"/>
    <numFmt numFmtId="167" formatCode="0.000000000000%"/>
    <numFmt numFmtId="168" formatCode="#,##0.0"/>
    <numFmt numFmtId="169" formatCode="0.000000000000"/>
    <numFmt numFmtId="170" formatCode="0.000"/>
  </numFmts>
  <fonts count="8">
    <font>
      <sz val="10"/>
      <name val="Arial"/>
      <family val="0"/>
    </font>
    <font>
      <sz val="10"/>
      <color indexed="10"/>
      <name val="Arial"/>
      <family val="2"/>
    </font>
    <font>
      <sz val="20"/>
      <color indexed="9"/>
      <name val="Arial"/>
      <family val="2"/>
    </font>
    <font>
      <sz val="18"/>
      <color indexed="9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6" fontId="0" fillId="0" borderId="2" xfId="0" applyNumberFormat="1" applyBorder="1" applyAlignment="1">
      <alignment/>
    </xf>
    <xf numFmtId="6" fontId="0" fillId="0" borderId="2" xfId="0" applyNumberFormat="1" applyBorder="1" applyAlignment="1">
      <alignment/>
    </xf>
    <xf numFmtId="165" fontId="0" fillId="2" borderId="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6" fontId="0" fillId="3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0" fillId="5" borderId="0" xfId="0" applyFill="1" applyAlignment="1">
      <alignment horizontal="right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>
      <alignment horizontal="center"/>
    </xf>
    <xf numFmtId="165" fontId="0" fillId="3" borderId="7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165" fontId="0" fillId="4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left"/>
    </xf>
    <xf numFmtId="165" fontId="0" fillId="3" borderId="1" xfId="0" applyNumberFormat="1" applyFill="1" applyBorder="1" applyAlignment="1" applyProtection="1">
      <alignment horizontal="center"/>
      <protection locked="0"/>
    </xf>
    <xf numFmtId="166" fontId="4" fillId="6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/>
    </xf>
    <xf numFmtId="0" fontId="0" fillId="7" borderId="10" xfId="0" applyFill="1" applyBorder="1" applyAlignment="1">
      <alignment horizontal="right"/>
    </xf>
    <xf numFmtId="0" fontId="0" fillId="7" borderId="10" xfId="0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11" xfId="0" applyFill="1" applyBorder="1" applyAlignment="1">
      <alignment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4" fillId="7" borderId="0" xfId="0" applyFont="1" applyFill="1" applyAlignment="1">
      <alignment/>
    </xf>
    <xf numFmtId="0" fontId="0" fillId="7" borderId="9" xfId="0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7" borderId="13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6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8.57421875" style="0" customWidth="1"/>
    <col min="2" max="2" width="13.7109375" style="0" customWidth="1"/>
    <col min="3" max="3" width="7.421875" style="0" customWidth="1"/>
    <col min="4" max="4" width="12.8515625" style="0" customWidth="1"/>
    <col min="5" max="5" width="9.7109375" style="0" customWidth="1"/>
    <col min="8" max="8" width="68.00390625" style="0" hidden="1" customWidth="1"/>
    <col min="9" max="9" width="14.7109375" style="0" hidden="1" customWidth="1"/>
    <col min="10" max="10" width="4.421875" style="0" hidden="1" customWidth="1"/>
    <col min="11" max="11" width="14.8515625" style="0" hidden="1" customWidth="1"/>
    <col min="12" max="12" width="0" style="0" hidden="1" customWidth="1"/>
    <col min="13" max="13" width="10.421875" style="0" hidden="1" customWidth="1"/>
    <col min="14" max="14" width="14.421875" style="0" hidden="1" customWidth="1"/>
    <col min="15" max="17" width="0" style="0" hidden="1" customWidth="1"/>
    <col min="19" max="19" width="32.140625" style="0" customWidth="1"/>
  </cols>
  <sheetData>
    <row r="1" spans="1:26" ht="48.75" customHeight="1">
      <c r="A1" s="47" t="s">
        <v>48</v>
      </c>
      <c r="B1" s="47"/>
      <c r="C1" s="47"/>
      <c r="D1" s="47"/>
      <c r="E1" s="54"/>
      <c r="F1" s="24"/>
      <c r="G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9.25" customHeight="1">
      <c r="A2" s="48" t="s">
        <v>63</v>
      </c>
      <c r="B2" s="48"/>
      <c r="C2" s="48"/>
      <c r="D2" s="48"/>
      <c r="E2" s="54"/>
      <c r="F2" s="24"/>
      <c r="G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9.25" customHeight="1">
      <c r="A3" s="48" t="s">
        <v>64</v>
      </c>
      <c r="B3" s="49"/>
      <c r="C3" s="49"/>
      <c r="D3" s="49"/>
      <c r="E3" s="54"/>
      <c r="F3" s="24"/>
      <c r="G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9.25" customHeight="1">
      <c r="A4" s="48" t="s">
        <v>55</v>
      </c>
      <c r="B4" s="48"/>
      <c r="C4" s="48"/>
      <c r="D4" s="48"/>
      <c r="E4" s="54"/>
      <c r="F4" s="24"/>
      <c r="G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0.25" customHeight="1" thickBot="1">
      <c r="A5" s="45" t="s">
        <v>2</v>
      </c>
      <c r="B5" s="45"/>
      <c r="C5" s="55"/>
      <c r="D5" s="46" t="s">
        <v>15</v>
      </c>
      <c r="E5" s="60"/>
      <c r="F5" s="24"/>
      <c r="G5" s="24"/>
      <c r="H5" s="44" t="s">
        <v>17</v>
      </c>
      <c r="I5" s="44"/>
      <c r="K5" s="1" t="s">
        <v>18</v>
      </c>
      <c r="L5" s="1"/>
      <c r="M5" t="s">
        <v>47</v>
      </c>
      <c r="R5" s="24"/>
      <c r="S5" s="24"/>
      <c r="T5" s="24"/>
      <c r="U5" s="24"/>
      <c r="V5" s="24"/>
      <c r="W5" s="24"/>
      <c r="X5" s="24"/>
      <c r="Y5" s="24"/>
      <c r="Z5" s="24"/>
    </row>
    <row r="6" spans="1:26" ht="13.5" thickTop="1">
      <c r="A6" s="37" t="s">
        <v>9</v>
      </c>
      <c r="B6" s="38">
        <v>100</v>
      </c>
      <c r="C6" s="50"/>
      <c r="D6" s="33">
        <f>B6</f>
        <v>100</v>
      </c>
      <c r="E6" s="54"/>
      <c r="F6" s="24"/>
      <c r="G6" s="24"/>
      <c r="H6" s="6" t="s">
        <v>19</v>
      </c>
      <c r="I6" s="7">
        <f>B22*(B24/100)*B25</f>
        <v>33192.5</v>
      </c>
      <c r="K6" s="7">
        <f>D22*(D24/100)*D25</f>
        <v>33192.5</v>
      </c>
      <c r="M6">
        <v>2</v>
      </c>
      <c r="N6" s="15">
        <f>B46*B12</f>
        <v>0.12897701375181722</v>
      </c>
      <c r="O6" s="15">
        <f>M6*N6</f>
        <v>0.25795402750363444</v>
      </c>
      <c r="P6" s="15">
        <f>D46*D12</f>
        <v>0.12541486494155724</v>
      </c>
      <c r="Q6" s="15">
        <f aca="true" t="shared" si="0" ref="Q6:Q15">M6*P6</f>
        <v>0.25082972988311447</v>
      </c>
      <c r="R6" s="24"/>
      <c r="S6" s="24"/>
      <c r="T6" s="24"/>
      <c r="U6" s="24"/>
      <c r="V6" s="24"/>
      <c r="W6" s="24"/>
      <c r="X6" s="24"/>
      <c r="Y6" s="24"/>
      <c r="Z6" s="24"/>
    </row>
    <row r="7" spans="1:26" ht="12.75">
      <c r="A7" s="28" t="s">
        <v>3</v>
      </c>
      <c r="B7" s="29">
        <v>25</v>
      </c>
      <c r="C7" s="50"/>
      <c r="D7" s="34">
        <v>25</v>
      </c>
      <c r="E7" s="54"/>
      <c r="F7" s="24"/>
      <c r="G7" s="24"/>
      <c r="H7" t="s">
        <v>20</v>
      </c>
      <c r="I7" s="8">
        <f>B31*(B33/100)*B34</f>
        <v>1050</v>
      </c>
      <c r="K7" s="8">
        <f>D31*(D33/100)*D34</f>
        <v>1050</v>
      </c>
      <c r="M7">
        <v>3</v>
      </c>
      <c r="N7" s="15">
        <f aca="true" t="shared" si="1" ref="N7:N15">N6*B13</f>
        <v>0.11865885265167185</v>
      </c>
      <c r="O7" s="15">
        <f aca="true" t="shared" si="2" ref="O7:O15">M7*N7</f>
        <v>0.35597655795501554</v>
      </c>
      <c r="P7" s="15">
        <f aca="true" t="shared" si="3" ref="P7:P15">P6*D13</f>
        <v>0.11914412169447937</v>
      </c>
      <c r="Q7" s="15">
        <f t="shared" si="0"/>
        <v>0.3574323650834381</v>
      </c>
      <c r="R7" s="24"/>
      <c r="S7" s="24"/>
      <c r="T7" s="24"/>
      <c r="U7" s="24"/>
      <c r="V7" s="24"/>
      <c r="W7" s="24"/>
      <c r="X7" s="24"/>
      <c r="Y7" s="24"/>
      <c r="Z7" s="24"/>
    </row>
    <row r="8" spans="1:26" ht="12.75">
      <c r="A8" s="28" t="s">
        <v>4</v>
      </c>
      <c r="B8" s="29">
        <v>20</v>
      </c>
      <c r="C8" s="51">
        <f>IF(B10&lt;B11,"Shrinking Herd","")</f>
      </c>
      <c r="D8" s="34">
        <v>20</v>
      </c>
      <c r="E8" s="61">
        <f>IF(D10&lt;D11,"Shrinking Herd","")</f>
      </c>
      <c r="F8" s="24"/>
      <c r="G8" s="24"/>
      <c r="H8" t="s">
        <v>37</v>
      </c>
      <c r="I8" s="8">
        <f>B26*(B27/100)*B28</f>
        <v>2379.9999999999995</v>
      </c>
      <c r="K8" s="8">
        <f>D26*(D27/100)*D28</f>
        <v>1189.9999999999998</v>
      </c>
      <c r="M8">
        <v>4</v>
      </c>
      <c r="N8" s="15">
        <f t="shared" si="1"/>
        <v>0.11509908707212169</v>
      </c>
      <c r="O8" s="15">
        <f t="shared" si="2"/>
        <v>0.46039634828848675</v>
      </c>
      <c r="P8" s="15">
        <f t="shared" si="3"/>
        <v>0.11556979804364498</v>
      </c>
      <c r="Q8" s="15">
        <f t="shared" si="0"/>
        <v>0.4622791921745799</v>
      </c>
      <c r="R8" s="24"/>
      <c r="S8" s="24"/>
      <c r="T8" s="24"/>
      <c r="U8" s="24"/>
      <c r="V8" s="24"/>
      <c r="W8" s="24"/>
      <c r="X8" s="24"/>
      <c r="Y8" s="24"/>
      <c r="Z8" s="24"/>
    </row>
    <row r="9" spans="1:26" ht="12.75">
      <c r="A9" s="28" t="s">
        <v>5</v>
      </c>
      <c r="B9" s="30">
        <v>0.8</v>
      </c>
      <c r="C9" s="51"/>
      <c r="D9" s="35">
        <v>0.9</v>
      </c>
      <c r="E9" s="61"/>
      <c r="F9" s="24"/>
      <c r="G9" s="24"/>
      <c r="H9" t="s">
        <v>38</v>
      </c>
      <c r="I9" s="8">
        <f>B29*B30</f>
        <v>537.0518895669167</v>
      </c>
      <c r="K9" s="8">
        <f>D29*D30</f>
        <v>2642.2597542208673</v>
      </c>
      <c r="M9">
        <v>5</v>
      </c>
      <c r="N9" s="15">
        <f t="shared" si="1"/>
        <v>0.11164611445995803</v>
      </c>
      <c r="O9" s="15">
        <f t="shared" si="2"/>
        <v>0.5582305722997902</v>
      </c>
      <c r="P9" s="15">
        <f t="shared" si="3"/>
        <v>0.11210270410233562</v>
      </c>
      <c r="Q9" s="15">
        <f t="shared" si="0"/>
        <v>0.5605135205116781</v>
      </c>
      <c r="R9" s="24"/>
      <c r="S9" s="24"/>
      <c r="T9" s="24"/>
      <c r="U9" s="24"/>
      <c r="V9" s="24"/>
      <c r="W9" s="24"/>
      <c r="X9" s="24"/>
      <c r="Y9" s="24"/>
      <c r="Z9" s="24"/>
    </row>
    <row r="10" spans="1:26" ht="12.75">
      <c r="A10" s="28" t="s">
        <v>31</v>
      </c>
      <c r="B10" s="31">
        <f>B8*B9</f>
        <v>16</v>
      </c>
      <c r="C10" s="50"/>
      <c r="D10" s="36">
        <f>D8*D9</f>
        <v>18</v>
      </c>
      <c r="E10" s="54"/>
      <c r="F10" s="24"/>
      <c r="G10" s="24"/>
      <c r="M10">
        <v>6</v>
      </c>
      <c r="N10" s="15">
        <f t="shared" si="1"/>
        <v>0.10606380873696013</v>
      </c>
      <c r="O10" s="15">
        <f t="shared" si="2"/>
        <v>0.6363828524217607</v>
      </c>
      <c r="P10" s="15">
        <f t="shared" si="3"/>
        <v>0.10649756889721884</v>
      </c>
      <c r="Q10" s="15">
        <f t="shared" si="0"/>
        <v>0.638985413383313</v>
      </c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>
      <c r="A11" s="28" t="s">
        <v>32</v>
      </c>
      <c r="B11" s="31">
        <f>B6/((B12)+(B12*B13)+(B12*B13*B14)+(B12*B13*B14*B15)+(B12*B13*B14*B15*B16)+(B12*B13*B14*B15*B16*B17)+(B12*B13*B14*B15*B16*B17*B18)+(B12*B13*B14*B15*B16*B17*B18*B19)+(B12*B13*B14*B15*B16*B17*B18*B19*B20)+(B12*B13*B14*B15*B16*B17*B18*B19*B20*B21))</f>
        <v>15.173766323743205</v>
      </c>
      <c r="C11" s="50"/>
      <c r="D11" s="36">
        <f>D6/((D12)+(D12*D13)+(D12*D13*D14)+(D12*D13*D14*D15)+(D12*D13*D14*D15*D16)+(D12*D13*D14*D15*D16*D17)+(D12*D13*D14*D15*D16*D17*D18)+(D12*D13*D14*D15*D16*D17*D18*D19)+(D12*D13*D14*D15*D16*D17*D18*D19*D20)+(D12*D13*D14*D15*D16*D17*D18*D19*D20*D21))</f>
        <v>13.934984993506358</v>
      </c>
      <c r="E11" s="54"/>
      <c r="F11" s="24"/>
      <c r="G11" s="24"/>
      <c r="H11" t="s">
        <v>22</v>
      </c>
      <c r="I11" s="8">
        <f>B11*(1-B12)*(B35*0.9/100)*B36</f>
        <v>983.2600577785599</v>
      </c>
      <c r="K11" s="8">
        <f>D11*(1-D12)*(D35*0.9/100)*D36</f>
        <v>601.9913517194746</v>
      </c>
      <c r="M11">
        <v>7</v>
      </c>
      <c r="N11" s="15">
        <f t="shared" si="1"/>
        <v>0.10076061830011211</v>
      </c>
      <c r="O11" s="15">
        <f t="shared" si="2"/>
        <v>0.7053243281007848</v>
      </c>
      <c r="P11" s="15">
        <f t="shared" si="3"/>
        <v>0.1011726904523579</v>
      </c>
      <c r="Q11" s="15">
        <f t="shared" si="0"/>
        <v>0.7082088331665053</v>
      </c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>
      <c r="A12" s="28" t="s">
        <v>65</v>
      </c>
      <c r="B12" s="30">
        <v>0.85</v>
      </c>
      <c r="C12" s="50"/>
      <c r="D12" s="35">
        <v>0.9</v>
      </c>
      <c r="E12" s="54"/>
      <c r="F12" s="24"/>
      <c r="G12" s="24"/>
      <c r="H12" t="s">
        <v>21</v>
      </c>
      <c r="I12" s="8">
        <f>B11*B12*(1-B13)*(B35/100)*B36</f>
        <v>495.271732806978</v>
      </c>
      <c r="K12" s="8">
        <f>D11*D12*(1-D13)*(D35/100)*D36</f>
        <v>300.9956758597376</v>
      </c>
      <c r="M12">
        <v>8</v>
      </c>
      <c r="N12" s="15">
        <f t="shared" si="1"/>
        <v>0.09269976883610315</v>
      </c>
      <c r="O12" s="15">
        <f t="shared" si="2"/>
        <v>0.7415981506888252</v>
      </c>
      <c r="P12" s="15">
        <f t="shared" si="3"/>
        <v>0.09307887521616927</v>
      </c>
      <c r="Q12" s="15">
        <f t="shared" si="0"/>
        <v>0.7446310017293541</v>
      </c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>
      <c r="A13" s="28" t="s">
        <v>66</v>
      </c>
      <c r="B13" s="30">
        <v>0.92</v>
      </c>
      <c r="C13" s="50"/>
      <c r="D13" s="35">
        <v>0.95</v>
      </c>
      <c r="E13" s="54"/>
      <c r="F13" s="24"/>
      <c r="G13" s="24"/>
      <c r="H13" t="s">
        <v>23</v>
      </c>
      <c r="I13" s="8">
        <f>B11*(B12)*(B13)*(1-B14)*(B35/100)*B36</f>
        <v>170.86874781840763</v>
      </c>
      <c r="J13" s="8"/>
      <c r="K13" s="8">
        <f>D11*(D12)*(D13)*(1-D14)*(D35/100)*D36</f>
        <v>171.56753524005046</v>
      </c>
      <c r="M13">
        <v>9</v>
      </c>
      <c r="N13" s="15">
        <f t="shared" si="1"/>
        <v>0.08342979195249284</v>
      </c>
      <c r="O13" s="15">
        <f t="shared" si="2"/>
        <v>0.7508681275724356</v>
      </c>
      <c r="P13" s="15">
        <f t="shared" si="3"/>
        <v>0.08377098769455234</v>
      </c>
      <c r="Q13" s="15">
        <f t="shared" si="0"/>
        <v>0.7539388892509711</v>
      </c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>
      <c r="A14" s="28" t="s">
        <v>67</v>
      </c>
      <c r="B14" s="30">
        <v>0.97</v>
      </c>
      <c r="C14" s="52">
        <f>IF(AND(D14&gt;0,D14&lt;&gt;B14),"Caution","")</f>
      </c>
      <c r="D14" s="41">
        <v>0.97</v>
      </c>
      <c r="E14" s="62">
        <f>IF(AND(D14&gt;0,D14&lt;&gt;B14),"Can you defend differenence from current profile?","")</f>
      </c>
      <c r="F14" s="24"/>
      <c r="G14" s="24"/>
      <c r="H14" t="s">
        <v>24</v>
      </c>
      <c r="I14" s="8">
        <f>B11*(B12)*(B13)*(B14)*(1-B15)*(B35/100)*B36</f>
        <v>165.74268538385542</v>
      </c>
      <c r="J14" s="8"/>
      <c r="K14" s="8">
        <f>D11*(D12)*(D13)*(D14)*(1-D15)*(D35/100)*D36</f>
        <v>166.42050918284895</v>
      </c>
      <c r="M14">
        <v>10</v>
      </c>
      <c r="N14" s="15">
        <f t="shared" si="1"/>
        <v>0.07508681275724356</v>
      </c>
      <c r="O14" s="15">
        <f t="shared" si="2"/>
        <v>0.7508681275724356</v>
      </c>
      <c r="P14" s="15">
        <f t="shared" si="3"/>
        <v>0.0753938889250971</v>
      </c>
      <c r="Q14" s="15">
        <f t="shared" si="0"/>
        <v>0.7539388892509711</v>
      </c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3.5" thickBot="1">
      <c r="A15" s="28" t="s">
        <v>68</v>
      </c>
      <c r="B15" s="30">
        <v>0.97</v>
      </c>
      <c r="C15" s="52">
        <f aca="true" t="shared" si="4" ref="C15:C21">IF(AND(D15&gt;0,D15&lt;&gt;B15),"Caution","")</f>
      </c>
      <c r="D15" s="41">
        <v>0.97</v>
      </c>
      <c r="E15" s="62">
        <f aca="true" t="shared" si="5" ref="E15:E21">IF(AND(D15&gt;0,D15&lt;&gt;B15),"Can you defend differenence from current profile?","")</f>
      </c>
      <c r="F15" s="24"/>
      <c r="G15" s="24"/>
      <c r="H15" t="s">
        <v>25</v>
      </c>
      <c r="I15" s="8">
        <f>B11*(B12)*(B13)*(B14)*(B15)*(1-B16)*(B35/100)*B36</f>
        <v>267.9506747038995</v>
      </c>
      <c r="J15" s="8"/>
      <c r="K15" s="8">
        <f>D11*(D12)*(D13)*(D14)*(D15)*(1-D16)*(D35/100)*D36</f>
        <v>269.0464898456058</v>
      </c>
      <c r="M15">
        <v>11</v>
      </c>
      <c r="N15" s="16">
        <f t="shared" si="1"/>
        <v>0.06757813148151921</v>
      </c>
      <c r="O15" s="15">
        <f t="shared" si="2"/>
        <v>0.7433594462967114</v>
      </c>
      <c r="P15" s="16">
        <f t="shared" si="3"/>
        <v>0.06785450003258739</v>
      </c>
      <c r="Q15" s="15">
        <f t="shared" si="0"/>
        <v>0.7463995003584613</v>
      </c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>
      <c r="A16" s="28" t="s">
        <v>69</v>
      </c>
      <c r="B16" s="30">
        <v>0.95</v>
      </c>
      <c r="C16" s="52">
        <f t="shared" si="4"/>
      </c>
      <c r="D16" s="41">
        <v>0.95</v>
      </c>
      <c r="E16" s="62">
        <f t="shared" si="5"/>
      </c>
      <c r="F16" s="24"/>
      <c r="G16" s="24"/>
      <c r="H16" t="s">
        <v>26</v>
      </c>
      <c r="I16" s="8">
        <f>B11*B12*B13*B14*B15*B16*(1-B17)*(B35/100)*B36</f>
        <v>254.55314096870453</v>
      </c>
      <c r="J16" s="8"/>
      <c r="K16" s="8">
        <f>D11*D12*D13*D14*D15*D16*(1-D17)*(D35/100)*D36</f>
        <v>255.59416535332548</v>
      </c>
      <c r="N16" s="2">
        <f>SUM(N6:N15)</f>
        <v>0.9999999999999998</v>
      </c>
      <c r="P16" s="2">
        <f>SUM(P6:P15)</f>
        <v>1.0000000000000002</v>
      </c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>
      <c r="A17" s="28" t="s">
        <v>70</v>
      </c>
      <c r="B17" s="30">
        <v>0.95</v>
      </c>
      <c r="C17" s="52">
        <f t="shared" si="4"/>
      </c>
      <c r="D17" s="41">
        <v>0.95</v>
      </c>
      <c r="E17" s="62">
        <f t="shared" si="5"/>
      </c>
      <c r="F17" s="24"/>
      <c r="G17" s="24"/>
      <c r="H17" t="s">
        <v>27</v>
      </c>
      <c r="I17" s="8">
        <f>B11*B12*B13*B14*B15*B16*B17*(1-B18)*(B35/100)*B36</f>
        <v>386.92077427243026</v>
      </c>
      <c r="J17" s="8"/>
      <c r="K17" s="8">
        <f>D11*D12*D13*D14*D15*D16*D17*(1-D18)*(D35/100)*D36</f>
        <v>388.5031313370541</v>
      </c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>
      <c r="A18" s="28" t="s">
        <v>71</v>
      </c>
      <c r="B18" s="30">
        <v>0.92</v>
      </c>
      <c r="C18" s="52">
        <f t="shared" si="4"/>
      </c>
      <c r="D18" s="41">
        <v>0.92</v>
      </c>
      <c r="E18" s="62">
        <f t="shared" si="5"/>
      </c>
      <c r="F18" s="24"/>
      <c r="G18" s="24"/>
      <c r="H18" t="s">
        <v>28</v>
      </c>
      <c r="I18" s="8">
        <f>B11*B12*B13*B14*B15*B16*B17*B18*(1-B19)*(B35/100)*B36</f>
        <v>444.9588904132951</v>
      </c>
      <c r="J18" s="8"/>
      <c r="K18" s="8">
        <f>D11*D12*D13*D14*D15*D16*D17*D18*(1-D19)*(D35/100)*D36</f>
        <v>446.7786010376125</v>
      </c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3.5" customHeight="1">
      <c r="A19" s="28" t="s">
        <v>72</v>
      </c>
      <c r="B19" s="30">
        <v>0.9</v>
      </c>
      <c r="C19" s="52">
        <f t="shared" si="4"/>
      </c>
      <c r="D19" s="41">
        <v>0.9</v>
      </c>
      <c r="E19" s="62">
        <f t="shared" si="5"/>
      </c>
      <c r="F19" s="25"/>
      <c r="G19" s="24"/>
      <c r="H19" t="s">
        <v>29</v>
      </c>
      <c r="I19" s="8">
        <f>B11*B12*B13*B14*B15*B16*B17*B18*B19*(1-B20)*(B35/100)*B36</f>
        <v>400.46300137196556</v>
      </c>
      <c r="J19" s="8"/>
      <c r="K19" s="8">
        <f>D11*D12*D13*D14*D15*D16*D17*D18*D19*(1-D20)*(D35/100)*D36</f>
        <v>402.10074093385117</v>
      </c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3.5" thickBot="1">
      <c r="A20" s="26" t="s">
        <v>73</v>
      </c>
      <c r="B20" s="32">
        <v>0.9</v>
      </c>
      <c r="C20" s="52">
        <f t="shared" si="4"/>
      </c>
      <c r="D20" s="41">
        <v>0.9</v>
      </c>
      <c r="E20" s="62">
        <f t="shared" si="5"/>
      </c>
      <c r="F20" s="24"/>
      <c r="G20" s="24"/>
      <c r="H20" t="s">
        <v>30</v>
      </c>
      <c r="I20" s="12">
        <f>B11*B12*B13*B14*B15*B16*B17*B18*B19*B20*(1-B21)*(B35/100)*B36</f>
        <v>360.41670123476905</v>
      </c>
      <c r="J20" s="8"/>
      <c r="K20" s="12">
        <f>D11*D12*D13*D14*D15*D16*D17*D18*D19*D20*(1-D21)*(D35/100)*D36</f>
        <v>361.8906668404661</v>
      </c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>
      <c r="A21" s="26" t="s">
        <v>74</v>
      </c>
      <c r="B21" s="30">
        <v>0.9</v>
      </c>
      <c r="C21" s="52">
        <f t="shared" si="4"/>
      </c>
      <c r="D21" s="41">
        <v>0.9</v>
      </c>
      <c r="E21" s="62">
        <f t="shared" si="5"/>
      </c>
      <c r="F21" s="24"/>
      <c r="G21" s="24"/>
      <c r="I21" s="8">
        <f>SUM(I6:I20)</f>
        <v>41089.95829631978</v>
      </c>
      <c r="K21" s="8">
        <f>SUM(K6:K20)</f>
        <v>41439.648621570894</v>
      </c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>
      <c r="A22" s="26" t="s">
        <v>7</v>
      </c>
      <c r="B22" s="19">
        <v>71</v>
      </c>
      <c r="C22" s="53">
        <f>IF(B23&gt;100%,"ERROR","")</f>
      </c>
      <c r="D22" s="21">
        <v>71</v>
      </c>
      <c r="E22" s="53">
        <f>IF(D23&gt;100%,"ERROR","")</f>
      </c>
      <c r="F22" s="24"/>
      <c r="G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>
      <c r="A23" s="26" t="s">
        <v>16</v>
      </c>
      <c r="B23" s="4">
        <f>($B$7+$B$22)/($B$6+$B$8)</f>
        <v>0.8</v>
      </c>
      <c r="C23" s="54"/>
      <c r="D23" s="4">
        <f>($D$7+$D$22)/($D$6+$D$8)</f>
        <v>0.8</v>
      </c>
      <c r="E23" s="53"/>
      <c r="F23" s="24"/>
      <c r="G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>
      <c r="A24" s="39" t="s">
        <v>11</v>
      </c>
      <c r="B24" s="19">
        <v>550</v>
      </c>
      <c r="C24" s="52">
        <f aca="true" t="shared" si="6" ref="C24:C34">IF(AND(D24&gt;0,D24&lt;&gt;B24),"Caution","")</f>
      </c>
      <c r="D24" s="19">
        <v>550</v>
      </c>
      <c r="E24" s="62">
        <f aca="true" t="shared" si="7" ref="E24:E34">IF(AND(D24&gt;0,D24&lt;&gt;B24),"Can you defend differenence from current profile?","")</f>
      </c>
      <c r="F24" s="24"/>
      <c r="G24" s="24"/>
      <c r="H24" t="s">
        <v>39</v>
      </c>
      <c r="I24" s="8">
        <f>(B6-(B11*B12))*B37</f>
        <v>22216.31228724615</v>
      </c>
      <c r="K24" s="8">
        <f>(D6-(D11*D12))*D37</f>
        <v>22307.16845480064</v>
      </c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>
      <c r="A25" s="39" t="s">
        <v>54</v>
      </c>
      <c r="B25" s="18">
        <v>85</v>
      </c>
      <c r="C25" s="52">
        <f t="shared" si="6"/>
      </c>
      <c r="D25" s="18">
        <v>85</v>
      </c>
      <c r="E25" s="62">
        <f t="shared" si="7"/>
      </c>
      <c r="F25" s="24"/>
      <c r="G25" s="24"/>
      <c r="H25" t="s">
        <v>40</v>
      </c>
      <c r="I25" s="8">
        <f>B11*B12*B37</f>
        <v>3289.6877127538505</v>
      </c>
      <c r="K25" s="8">
        <f>D11*D12*D37</f>
        <v>3198.831545199359</v>
      </c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>
      <c r="A26" s="26" t="s">
        <v>33</v>
      </c>
      <c r="B26" s="3">
        <f>B8*(1-B9)</f>
        <v>3.999999999999999</v>
      </c>
      <c r="C26" s="54"/>
      <c r="D26" s="3">
        <f>D8*(1-D9)</f>
        <v>1.9999999999999996</v>
      </c>
      <c r="E26" s="54"/>
      <c r="F26" s="24"/>
      <c r="G26" s="24"/>
      <c r="H26" t="s">
        <v>41</v>
      </c>
      <c r="I26" s="8">
        <f>B11*B39</f>
        <v>5644.944547758947</v>
      </c>
      <c r="K26" s="8">
        <f>D11*D39</f>
        <v>5184.093117284235</v>
      </c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>
      <c r="A27" s="39" t="s">
        <v>34</v>
      </c>
      <c r="B27" s="19">
        <v>850</v>
      </c>
      <c r="C27" s="52">
        <f t="shared" si="6"/>
      </c>
      <c r="D27" s="19">
        <v>850</v>
      </c>
      <c r="E27" s="62">
        <f t="shared" si="7"/>
      </c>
      <c r="F27" s="24"/>
      <c r="G27" s="24"/>
      <c r="H27" t="s">
        <v>43</v>
      </c>
      <c r="I27" s="8">
        <f>(B29+B26)*B40</f>
        <v>1271.0851633157517</v>
      </c>
      <c r="K27" s="8">
        <f>(D29+D26)*D40</f>
        <v>1597.3430022602306</v>
      </c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>
      <c r="A28" s="39" t="s">
        <v>52</v>
      </c>
      <c r="B28" s="18">
        <v>70</v>
      </c>
      <c r="C28" s="52">
        <f t="shared" si="6"/>
      </c>
      <c r="D28" s="18">
        <v>70</v>
      </c>
      <c r="E28" s="62">
        <f t="shared" si="7"/>
      </c>
      <c r="F28" s="24"/>
      <c r="G28" s="24"/>
      <c r="H28" t="s">
        <v>42</v>
      </c>
      <c r="I28" s="8">
        <f>(B31)*(B33/100)*B34</f>
        <v>1050</v>
      </c>
      <c r="K28" s="8">
        <f>(D31)*(D33/100)*D34</f>
        <v>1050</v>
      </c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3.5" thickBot="1">
      <c r="A29" s="40" t="s">
        <v>35</v>
      </c>
      <c r="B29" s="11">
        <f>IF((B8*B9)-B11&gt;0,(B8*B9)-B11,0)</f>
        <v>0.8262336762567948</v>
      </c>
      <c r="C29" s="54"/>
      <c r="D29" s="11">
        <f>IF((D8*D9)-D11&gt;0,(D8*D9)-D11,0)</f>
        <v>4.065015006493642</v>
      </c>
      <c r="E29" s="54"/>
      <c r="F29" s="24"/>
      <c r="G29" s="24"/>
      <c r="H29" t="s">
        <v>14</v>
      </c>
      <c r="I29" s="13">
        <f>(B6+B8)*B42</f>
        <v>18000</v>
      </c>
      <c r="K29" s="13">
        <f>(D6+D8)*D42</f>
        <v>18000</v>
      </c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>
      <c r="A30" s="39" t="s">
        <v>36</v>
      </c>
      <c r="B30" s="18">
        <v>650</v>
      </c>
      <c r="C30" s="52">
        <f t="shared" si="6"/>
      </c>
      <c r="D30" s="18">
        <v>650</v>
      </c>
      <c r="E30" s="62">
        <f t="shared" si="7"/>
      </c>
      <c r="F30" s="24"/>
      <c r="G30" s="24"/>
      <c r="I30" s="8">
        <f>SUM(I24:I29)</f>
        <v>51472.0297110747</v>
      </c>
      <c r="K30" s="8">
        <f>SUM(K24:K29)</f>
        <v>51337.436119544465</v>
      </c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" customHeight="1">
      <c r="A31" s="26" t="s">
        <v>62</v>
      </c>
      <c r="B31" s="19">
        <v>2</v>
      </c>
      <c r="C31" s="52"/>
      <c r="D31" s="19">
        <v>2</v>
      </c>
      <c r="E31" s="62"/>
      <c r="F31" s="24"/>
      <c r="G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" customHeight="1">
      <c r="A32" s="39" t="s">
        <v>56</v>
      </c>
      <c r="B32" s="22">
        <f>B7-B8</f>
        <v>5</v>
      </c>
      <c r="C32" s="53"/>
      <c r="D32" s="22">
        <f>D7-D8</f>
        <v>5</v>
      </c>
      <c r="E32" s="53"/>
      <c r="F32" s="24"/>
      <c r="G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>
      <c r="A33" s="39" t="s">
        <v>46</v>
      </c>
      <c r="B33" s="19">
        <v>700</v>
      </c>
      <c r="C33" s="52">
        <f t="shared" si="6"/>
      </c>
      <c r="D33" s="19">
        <v>700</v>
      </c>
      <c r="E33" s="62">
        <f t="shared" si="7"/>
      </c>
      <c r="F33" s="24"/>
      <c r="G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>
      <c r="A34" s="39" t="s">
        <v>51</v>
      </c>
      <c r="B34" s="18">
        <v>75</v>
      </c>
      <c r="C34" s="52">
        <f t="shared" si="6"/>
      </c>
      <c r="D34" s="18">
        <v>75</v>
      </c>
      <c r="E34" s="62">
        <f t="shared" si="7"/>
      </c>
      <c r="F34" s="24"/>
      <c r="G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>
      <c r="A35" t="s">
        <v>12</v>
      </c>
      <c r="B35" s="19">
        <v>1200</v>
      </c>
      <c r="C35" s="54"/>
      <c r="D35" s="22">
        <f>B35</f>
        <v>1200</v>
      </c>
      <c r="E35" s="54"/>
      <c r="F35" s="24"/>
      <c r="G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>
      <c r="A36" s="26" t="s">
        <v>53</v>
      </c>
      <c r="B36" s="18">
        <v>40</v>
      </c>
      <c r="C36" s="54"/>
      <c r="D36" s="23">
        <f aca="true" t="shared" si="8" ref="D36:D41">B36</f>
        <v>40</v>
      </c>
      <c r="E36" s="54"/>
      <c r="F36" s="24"/>
      <c r="G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>
      <c r="A37" s="26" t="s">
        <v>49</v>
      </c>
      <c r="B37" s="18">
        <v>255.06</v>
      </c>
      <c r="C37" s="54"/>
      <c r="D37" s="23">
        <f t="shared" si="8"/>
        <v>255.06</v>
      </c>
      <c r="E37" s="54"/>
      <c r="F37" s="24"/>
      <c r="G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>
      <c r="A38" s="26" t="s">
        <v>6</v>
      </c>
      <c r="B38" s="18">
        <v>262.83</v>
      </c>
      <c r="C38" s="54"/>
      <c r="D38" s="23">
        <f t="shared" si="8"/>
        <v>262.83</v>
      </c>
      <c r="E38" s="54"/>
      <c r="F38" s="24"/>
      <c r="G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>
      <c r="A39" s="26" t="s">
        <v>13</v>
      </c>
      <c r="B39" s="18">
        <v>372.02</v>
      </c>
      <c r="C39" s="54"/>
      <c r="D39" s="23">
        <f t="shared" si="8"/>
        <v>372.02</v>
      </c>
      <c r="E39" s="54"/>
      <c r="F39" s="24"/>
      <c r="G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>
      <c r="A40" s="26" t="s">
        <v>44</v>
      </c>
      <c r="B40" s="18">
        <v>263.37</v>
      </c>
      <c r="C40" s="54"/>
      <c r="D40" s="23">
        <f t="shared" si="8"/>
        <v>263.37</v>
      </c>
      <c r="E40" s="54"/>
      <c r="F40" s="24"/>
      <c r="G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>
      <c r="A41" s="26" t="s">
        <v>45</v>
      </c>
      <c r="B41" s="18">
        <v>118.66</v>
      </c>
      <c r="C41" s="54"/>
      <c r="D41" s="23">
        <f t="shared" si="8"/>
        <v>118.66</v>
      </c>
      <c r="E41" s="54"/>
      <c r="F41" s="24"/>
      <c r="G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>
      <c r="A42" s="26" t="s">
        <v>14</v>
      </c>
      <c r="B42" s="20">
        <v>150</v>
      </c>
      <c r="C42" s="54"/>
      <c r="D42" s="5">
        <f>B42</f>
        <v>150</v>
      </c>
      <c r="E42" s="54"/>
      <c r="F42" s="24"/>
      <c r="G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>
      <c r="A43" s="54"/>
      <c r="B43" s="56"/>
      <c r="C43" s="54"/>
      <c r="D43" s="54"/>
      <c r="E43" s="54"/>
      <c r="F43" s="24"/>
      <c r="G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24" customHeight="1">
      <c r="A44" s="57" t="s">
        <v>50</v>
      </c>
      <c r="B44" s="58"/>
      <c r="C44" s="54"/>
      <c r="D44" s="54"/>
      <c r="E44" s="54"/>
      <c r="F44" s="24"/>
      <c r="G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>
      <c r="A45" s="26" t="s">
        <v>16</v>
      </c>
      <c r="B45" s="4">
        <f>($B$7+$B$22)/($B$6+$B$8)</f>
        <v>0.8</v>
      </c>
      <c r="C45" s="54"/>
      <c r="D45" s="4">
        <f>($D$7+$D$22)/($D$6+$D$8)</f>
        <v>0.8</v>
      </c>
      <c r="E45" s="54"/>
      <c r="F45" s="24"/>
      <c r="G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>
      <c r="A46" s="26" t="s">
        <v>0</v>
      </c>
      <c r="B46" s="14">
        <f>B11/B6</f>
        <v>0.15173766323743204</v>
      </c>
      <c r="C46" s="54"/>
      <c r="D46" s="14">
        <f>D11/D6</f>
        <v>0.13934984993506358</v>
      </c>
      <c r="E46" s="54"/>
      <c r="F46" s="24"/>
      <c r="G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>
      <c r="A47" s="26" t="s">
        <v>8</v>
      </c>
      <c r="B47" s="17">
        <f>SUM(O6:O15)</f>
        <v>5.96095853869988</v>
      </c>
      <c r="C47" s="54"/>
      <c r="D47" s="17">
        <f>SUM(Q6:Q15)</f>
        <v>5.977157334792387</v>
      </c>
      <c r="E47" s="54"/>
      <c r="F47" s="24"/>
      <c r="G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>
      <c r="A48" s="26" t="s">
        <v>1</v>
      </c>
      <c r="B48" s="9">
        <f>B11</f>
        <v>15.173766323743205</v>
      </c>
      <c r="C48" s="54"/>
      <c r="D48" s="9">
        <f>D11</f>
        <v>13.934984993506358</v>
      </c>
      <c r="E48" s="54"/>
      <c r="F48" s="24"/>
      <c r="G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>
      <c r="A49" s="27" t="s">
        <v>10</v>
      </c>
      <c r="B49" s="10">
        <f>I21-I30</f>
        <v>-10382.071414754915</v>
      </c>
      <c r="C49" s="54"/>
      <c r="D49" s="10">
        <f>K21-K30</f>
        <v>-9897.787497973572</v>
      </c>
      <c r="E49" s="54"/>
      <c r="F49" s="24"/>
      <c r="G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>
      <c r="A50" s="54"/>
      <c r="B50" s="59"/>
      <c r="C50" s="54"/>
      <c r="D50" s="59"/>
      <c r="E50" s="54"/>
      <c r="F50" s="24"/>
      <c r="G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>
      <c r="A51" s="54"/>
      <c r="B51" s="59"/>
      <c r="C51" s="54"/>
      <c r="D51" s="59"/>
      <c r="E51" s="54"/>
      <c r="F51" s="24"/>
      <c r="G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>
      <c r="A52" s="63" t="s">
        <v>59</v>
      </c>
      <c r="B52" s="63"/>
      <c r="C52" s="42">
        <f>D49-B49</f>
        <v>484.2839167813436</v>
      </c>
      <c r="D52" s="42"/>
      <c r="E52" s="54"/>
      <c r="F52" s="24"/>
      <c r="G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>
      <c r="A53" s="63"/>
      <c r="B53" s="63"/>
      <c r="C53" s="42"/>
      <c r="D53" s="42"/>
      <c r="E53" s="54"/>
      <c r="F53" s="24"/>
      <c r="G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>
      <c r="A54" s="64" t="s">
        <v>57</v>
      </c>
      <c r="B54" s="64"/>
      <c r="C54" s="43">
        <v>410</v>
      </c>
      <c r="D54" s="43"/>
      <c r="E54" s="55"/>
      <c r="F54" s="24"/>
      <c r="G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>
      <c r="A55" s="64"/>
      <c r="B55" s="64"/>
      <c r="C55" s="43"/>
      <c r="D55" s="43"/>
      <c r="E55" s="54"/>
      <c r="F55" s="24"/>
      <c r="G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>
      <c r="A56" s="63" t="s">
        <v>60</v>
      </c>
      <c r="B56" s="63"/>
      <c r="C56" s="42">
        <f>(C52/D11)+B39+C54</f>
        <v>816.7730992682818</v>
      </c>
      <c r="D56" s="42"/>
      <c r="E56" s="55"/>
      <c r="F56" s="24"/>
      <c r="G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>
      <c r="A57" s="63"/>
      <c r="B57" s="63"/>
      <c r="C57" s="42"/>
      <c r="D57" s="42"/>
      <c r="E57" s="54"/>
      <c r="F57" s="24"/>
      <c r="G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>
      <c r="A58" s="63" t="s">
        <v>58</v>
      </c>
      <c r="B58" s="63"/>
      <c r="C58" s="42">
        <f>(C52/D11)+B39</f>
        <v>406.7730992682818</v>
      </c>
      <c r="D58" s="42"/>
      <c r="E58" s="54"/>
      <c r="F58" s="24"/>
      <c r="G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>
      <c r="A59" s="63"/>
      <c r="B59" s="63"/>
      <c r="C59" s="42"/>
      <c r="D59" s="42"/>
      <c r="E59" s="54"/>
      <c r="F59" s="24"/>
      <c r="G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>
      <c r="A60" s="65" t="s">
        <v>61</v>
      </c>
      <c r="B60" s="65"/>
      <c r="C60" s="42">
        <f>C52/D11</f>
        <v>34.753099268281794</v>
      </c>
      <c r="D60" s="42"/>
      <c r="E60" s="54"/>
      <c r="F60" s="24"/>
      <c r="G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>
      <c r="A61" s="65"/>
      <c r="B61" s="65"/>
      <c r="C61" s="42"/>
      <c r="D61" s="42"/>
      <c r="E61" s="54"/>
      <c r="F61" s="24"/>
      <c r="G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>
      <c r="A62" s="54"/>
      <c r="B62" s="54"/>
      <c r="C62" s="54"/>
      <c r="D62" s="54"/>
      <c r="E62" s="54"/>
      <c r="F62" s="24"/>
      <c r="G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>
      <c r="A63" s="54"/>
      <c r="B63" s="54"/>
      <c r="C63" s="54"/>
      <c r="D63" s="54"/>
      <c r="E63" s="54"/>
      <c r="F63" s="24"/>
      <c r="G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>
      <c r="A64" s="54"/>
      <c r="B64" s="54"/>
      <c r="C64" s="54"/>
      <c r="D64" s="54"/>
      <c r="E64" s="54"/>
      <c r="F64" s="24"/>
      <c r="G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>
      <c r="A65" s="24"/>
      <c r="B65" s="24"/>
      <c r="C65" s="24"/>
      <c r="D65" s="24"/>
      <c r="E65" s="24"/>
      <c r="F65" s="24"/>
      <c r="G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>
      <c r="A66" s="24"/>
      <c r="B66" s="24"/>
      <c r="C66" s="24"/>
      <c r="D66" s="24"/>
      <c r="E66" s="24"/>
      <c r="F66" s="24"/>
      <c r="G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>
      <c r="A67" s="24"/>
      <c r="B67" s="24"/>
      <c r="C67" s="24"/>
      <c r="D67" s="24"/>
      <c r="E67" s="24"/>
      <c r="F67" s="24"/>
      <c r="G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>
      <c r="A68" s="24"/>
      <c r="B68" s="24"/>
      <c r="C68" s="24"/>
      <c r="D68" s="24"/>
      <c r="E68" s="24"/>
      <c r="F68" s="24"/>
      <c r="G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>
      <c r="A69" s="24"/>
      <c r="B69" s="24"/>
      <c r="C69" s="24"/>
      <c r="D69" s="24"/>
      <c r="E69" s="24"/>
      <c r="F69" s="24"/>
      <c r="G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>
      <c r="A70" s="24"/>
      <c r="B70" s="24"/>
      <c r="C70" s="24"/>
      <c r="D70" s="24"/>
      <c r="E70" s="24"/>
      <c r="F70" s="24"/>
      <c r="G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>
      <c r="A71" s="24"/>
      <c r="B71" s="24"/>
      <c r="C71" s="24"/>
      <c r="D71" s="24"/>
      <c r="E71" s="24"/>
      <c r="F71" s="24"/>
      <c r="G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>
      <c r="A72" s="24"/>
      <c r="B72" s="24"/>
      <c r="C72" s="24"/>
      <c r="D72" s="24"/>
      <c r="E72" s="24"/>
      <c r="F72" s="24"/>
      <c r="G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>
      <c r="A73" s="24"/>
      <c r="B73" s="24"/>
      <c r="C73" s="24"/>
      <c r="D73" s="24"/>
      <c r="E73" s="24"/>
      <c r="F73" s="24"/>
      <c r="G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>
      <c r="A74" s="24"/>
      <c r="B74" s="24"/>
      <c r="C74" s="24"/>
      <c r="D74" s="24"/>
      <c r="E74" s="24"/>
      <c r="F74" s="24"/>
      <c r="G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>
      <c r="A75" s="24"/>
      <c r="B75" s="24"/>
      <c r="C75" s="24"/>
      <c r="D75" s="24"/>
      <c r="E75" s="24"/>
      <c r="F75" s="24"/>
      <c r="G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>
      <c r="A76" s="24"/>
      <c r="B76" s="24"/>
      <c r="C76" s="24"/>
      <c r="D76" s="24"/>
      <c r="E76" s="24"/>
      <c r="F76" s="24"/>
      <c r="G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>
      <c r="A77" s="24"/>
      <c r="B77" s="24"/>
      <c r="C77" s="24"/>
      <c r="D77" s="24"/>
      <c r="E77" s="24"/>
      <c r="F77" s="24"/>
      <c r="G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>
      <c r="A78" s="24"/>
      <c r="B78" s="24"/>
      <c r="C78" s="24"/>
      <c r="D78" s="24"/>
      <c r="E78" s="24"/>
      <c r="F78" s="24"/>
      <c r="G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>
      <c r="A79" s="24"/>
      <c r="B79" s="24"/>
      <c r="C79" s="24"/>
      <c r="D79" s="24"/>
      <c r="E79" s="24"/>
      <c r="F79" s="24"/>
      <c r="G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>
      <c r="A80" s="24"/>
      <c r="B80" s="24"/>
      <c r="C80" s="24"/>
      <c r="D80" s="24"/>
      <c r="E80" s="24"/>
      <c r="F80" s="24"/>
      <c r="G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>
      <c r="A81" s="24"/>
      <c r="B81" s="24"/>
      <c r="C81" s="24"/>
      <c r="D81" s="24"/>
      <c r="E81" s="24"/>
      <c r="F81" s="24"/>
      <c r="G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>
      <c r="A82" s="24"/>
      <c r="B82" s="24"/>
      <c r="C82" s="24"/>
      <c r="D82" s="24"/>
      <c r="E82" s="24"/>
      <c r="F82" s="24"/>
      <c r="G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>
      <c r="A83" s="24"/>
      <c r="B83" s="24"/>
      <c r="C83" s="24"/>
      <c r="D83" s="24"/>
      <c r="E83" s="24"/>
      <c r="F83" s="24"/>
      <c r="G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>
      <c r="A84" s="24"/>
      <c r="B84" s="24"/>
      <c r="C84" s="24"/>
      <c r="D84" s="24"/>
      <c r="E84" s="24"/>
      <c r="F84" s="24"/>
      <c r="G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>
      <c r="A85" s="24"/>
      <c r="B85" s="24"/>
      <c r="C85" s="24"/>
      <c r="D85" s="24"/>
      <c r="E85" s="24"/>
      <c r="F85" s="24"/>
      <c r="G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>
      <c r="A86" s="24"/>
      <c r="B86" s="24"/>
      <c r="C86" s="24"/>
      <c r="D86" s="24"/>
      <c r="E86" s="24"/>
      <c r="F86" s="24"/>
      <c r="G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>
      <c r="A87" s="24"/>
      <c r="B87" s="24"/>
      <c r="C87" s="24"/>
      <c r="D87" s="24"/>
      <c r="E87" s="24"/>
      <c r="F87" s="24"/>
      <c r="G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>
      <c r="A88" s="24"/>
      <c r="B88" s="24"/>
      <c r="C88" s="24"/>
      <c r="D88" s="24"/>
      <c r="E88" s="24"/>
      <c r="F88" s="24"/>
      <c r="G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>
      <c r="A89" s="24"/>
      <c r="B89" s="24"/>
      <c r="C89" s="24"/>
      <c r="D89" s="24"/>
      <c r="E89" s="24"/>
      <c r="F89" s="24"/>
      <c r="G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>
      <c r="A90" s="24"/>
      <c r="B90" s="24"/>
      <c r="C90" s="24"/>
      <c r="D90" s="24"/>
      <c r="E90" s="24"/>
      <c r="F90" s="24"/>
      <c r="G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>
      <c r="A91" s="24"/>
      <c r="B91" s="24"/>
      <c r="C91" s="24"/>
      <c r="D91" s="24"/>
      <c r="E91" s="24"/>
      <c r="F91" s="24"/>
      <c r="G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>
      <c r="A92" s="24"/>
      <c r="B92" s="24"/>
      <c r="C92" s="24"/>
      <c r="D92" s="24"/>
      <c r="E92" s="24"/>
      <c r="F92" s="24"/>
      <c r="G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>
      <c r="A93" s="24"/>
      <c r="B93" s="24"/>
      <c r="C93" s="24"/>
      <c r="D93" s="24"/>
      <c r="E93" s="24"/>
      <c r="F93" s="24"/>
      <c r="G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>
      <c r="A94" s="24"/>
      <c r="B94" s="24"/>
      <c r="C94" s="24"/>
      <c r="D94" s="24"/>
      <c r="E94" s="24"/>
      <c r="F94" s="24"/>
      <c r="G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>
      <c r="A95" s="24"/>
      <c r="B95" s="24"/>
      <c r="C95" s="24"/>
      <c r="D95" s="24"/>
      <c r="E95" s="24"/>
      <c r="F95" s="24"/>
      <c r="G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>
      <c r="A96" s="24"/>
      <c r="B96" s="24"/>
      <c r="C96" s="24"/>
      <c r="D96" s="24"/>
      <c r="E96" s="24"/>
      <c r="F96" s="24"/>
      <c r="G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>
      <c r="A97" s="24"/>
      <c r="B97" s="24"/>
      <c r="C97" s="24"/>
      <c r="D97" s="24"/>
      <c r="E97" s="24"/>
      <c r="F97" s="24"/>
      <c r="G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>
      <c r="A98" s="24"/>
      <c r="B98" s="24"/>
      <c r="C98" s="24"/>
      <c r="D98" s="24"/>
      <c r="E98" s="24"/>
      <c r="F98" s="24"/>
      <c r="G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>
      <c r="A99" s="24"/>
      <c r="B99" s="24"/>
      <c r="C99" s="24"/>
      <c r="D99" s="24"/>
      <c r="E99" s="24"/>
      <c r="F99" s="24"/>
      <c r="G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>
      <c r="A100" s="24"/>
      <c r="B100" s="24"/>
      <c r="C100" s="24"/>
      <c r="D100" s="24"/>
      <c r="E100" s="24"/>
      <c r="F100" s="24"/>
      <c r="G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>
      <c r="A101" s="24"/>
      <c r="B101" s="24"/>
      <c r="C101" s="24"/>
      <c r="D101" s="24"/>
      <c r="E101" s="24"/>
      <c r="F101" s="24"/>
      <c r="G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>
      <c r="A102" s="24"/>
      <c r="B102" s="24"/>
      <c r="C102" s="24"/>
      <c r="D102" s="24"/>
      <c r="E102" s="24"/>
      <c r="F102" s="24"/>
      <c r="G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>
      <c r="A103" s="24"/>
      <c r="B103" s="24"/>
      <c r="C103" s="24"/>
      <c r="D103" s="24"/>
      <c r="E103" s="24"/>
      <c r="F103" s="24"/>
      <c r="G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>
      <c r="A104" s="24"/>
      <c r="B104" s="24"/>
      <c r="C104" s="24"/>
      <c r="D104" s="24"/>
      <c r="E104" s="24"/>
      <c r="F104" s="24"/>
      <c r="G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>
      <c r="A105" s="24"/>
      <c r="B105" s="24"/>
      <c r="C105" s="24"/>
      <c r="D105" s="24"/>
      <c r="E105" s="24"/>
      <c r="F105" s="24"/>
      <c r="G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>
      <c r="A106" s="24"/>
      <c r="B106" s="24"/>
      <c r="C106" s="24"/>
      <c r="D106" s="24"/>
      <c r="E106" s="24"/>
      <c r="F106" s="24"/>
      <c r="G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>
      <c r="A107" s="24"/>
      <c r="B107" s="24"/>
      <c r="C107" s="24"/>
      <c r="D107" s="24"/>
      <c r="E107" s="24"/>
      <c r="F107" s="24"/>
      <c r="G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>
      <c r="A108" s="24"/>
      <c r="B108" s="24"/>
      <c r="C108" s="24"/>
      <c r="D108" s="24"/>
      <c r="E108" s="24"/>
      <c r="F108" s="24"/>
      <c r="G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>
      <c r="A109" s="24"/>
      <c r="B109" s="24"/>
      <c r="C109" s="24"/>
      <c r="D109" s="24"/>
      <c r="E109" s="24"/>
      <c r="F109" s="24"/>
      <c r="G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>
      <c r="A110" s="24"/>
      <c r="B110" s="24"/>
      <c r="C110" s="24"/>
      <c r="D110" s="24"/>
      <c r="E110" s="24"/>
      <c r="F110" s="24"/>
      <c r="G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>
      <c r="A111" s="24"/>
      <c r="B111" s="24"/>
      <c r="C111" s="24"/>
      <c r="D111" s="24"/>
      <c r="E111" s="24"/>
      <c r="F111" s="24"/>
      <c r="G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>
      <c r="A112" s="24"/>
      <c r="B112" s="24"/>
      <c r="C112" s="24"/>
      <c r="D112" s="24"/>
      <c r="E112" s="24"/>
      <c r="F112" s="24"/>
      <c r="G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>
      <c r="A113" s="24"/>
      <c r="B113" s="24"/>
      <c r="C113" s="24"/>
      <c r="D113" s="24"/>
      <c r="E113" s="24"/>
      <c r="F113" s="24"/>
      <c r="G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>
      <c r="A114" s="24"/>
      <c r="B114" s="24"/>
      <c r="C114" s="24"/>
      <c r="D114" s="24"/>
      <c r="E114" s="24"/>
      <c r="F114" s="24"/>
      <c r="G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>
      <c r="A115" s="24"/>
      <c r="B115" s="24"/>
      <c r="C115" s="24"/>
      <c r="D115" s="24"/>
      <c r="E115" s="24"/>
      <c r="F115" s="24"/>
      <c r="G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>
      <c r="A116" s="24"/>
      <c r="B116" s="24"/>
      <c r="C116" s="24"/>
      <c r="D116" s="24"/>
      <c r="E116" s="24"/>
      <c r="F116" s="24"/>
      <c r="G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>
      <c r="A117" s="24"/>
      <c r="B117" s="24"/>
      <c r="C117" s="24"/>
      <c r="D117" s="24"/>
      <c r="E117" s="24"/>
      <c r="F117" s="24"/>
      <c r="G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>
      <c r="A118" s="24"/>
      <c r="B118" s="24"/>
      <c r="C118" s="24"/>
      <c r="D118" s="24"/>
      <c r="E118" s="24"/>
      <c r="F118" s="24"/>
      <c r="G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>
      <c r="A119" s="24"/>
      <c r="B119" s="24"/>
      <c r="C119" s="24"/>
      <c r="D119" s="24"/>
      <c r="E119" s="24"/>
      <c r="F119" s="24"/>
      <c r="G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>
      <c r="A120" s="24"/>
      <c r="B120" s="24"/>
      <c r="C120" s="24"/>
      <c r="D120" s="24"/>
      <c r="E120" s="24"/>
      <c r="F120" s="24"/>
      <c r="G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>
      <c r="A121" s="24"/>
      <c r="B121" s="24"/>
      <c r="C121" s="24"/>
      <c r="D121" s="24"/>
      <c r="E121" s="24"/>
      <c r="F121" s="24"/>
      <c r="G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>
      <c r="A122" s="24"/>
      <c r="B122" s="24"/>
      <c r="C122" s="24"/>
      <c r="D122" s="24"/>
      <c r="E122" s="24"/>
      <c r="F122" s="24"/>
      <c r="G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>
      <c r="A123" s="24"/>
      <c r="B123" s="24"/>
      <c r="C123" s="24"/>
      <c r="D123" s="24"/>
      <c r="E123" s="24"/>
      <c r="F123" s="24"/>
      <c r="G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>
      <c r="A124" s="24"/>
      <c r="B124" s="24"/>
      <c r="C124" s="24"/>
      <c r="D124" s="24"/>
      <c r="E124" s="24"/>
      <c r="F124" s="24"/>
      <c r="G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>
      <c r="A125" s="24"/>
      <c r="B125" s="24"/>
      <c r="C125" s="24"/>
      <c r="D125" s="24"/>
      <c r="E125" s="24"/>
      <c r="F125" s="24"/>
      <c r="G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>
      <c r="A126" s="24"/>
      <c r="B126" s="24"/>
      <c r="C126" s="24"/>
      <c r="D126" s="24"/>
      <c r="E126" s="24"/>
      <c r="F126" s="24"/>
      <c r="G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>
      <c r="A127" s="24"/>
      <c r="B127" s="24"/>
      <c r="C127" s="24"/>
      <c r="D127" s="24"/>
      <c r="E127" s="24"/>
      <c r="F127" s="24"/>
      <c r="G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>
      <c r="A128" s="24"/>
      <c r="B128" s="24"/>
      <c r="C128" s="24"/>
      <c r="D128" s="24"/>
      <c r="E128" s="24"/>
      <c r="F128" s="24"/>
      <c r="G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>
      <c r="A129" s="24"/>
      <c r="B129" s="24"/>
      <c r="C129" s="24"/>
      <c r="D129" s="24"/>
      <c r="E129" s="24"/>
      <c r="F129" s="24"/>
      <c r="G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>
      <c r="A130" s="24"/>
      <c r="B130" s="24"/>
      <c r="C130" s="24"/>
      <c r="D130" s="24"/>
      <c r="E130" s="24"/>
      <c r="F130" s="24"/>
      <c r="G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>
      <c r="A131" s="24"/>
      <c r="B131" s="24"/>
      <c r="C131" s="24"/>
      <c r="D131" s="24"/>
      <c r="E131" s="24"/>
      <c r="F131" s="24"/>
      <c r="G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>
      <c r="A132" s="24"/>
      <c r="B132" s="24"/>
      <c r="C132" s="24"/>
      <c r="D132" s="24"/>
      <c r="E132" s="24"/>
      <c r="F132" s="24"/>
      <c r="G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8:26" ht="12.75"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8:26" ht="12.75"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8:26" ht="12.75"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8:26" ht="12.75"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8:26" ht="12.75"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8:26" ht="12.75"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8:26" ht="12.75"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8:26" ht="12.75"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8:26" ht="12.75"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8:26" ht="12.75"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8:26" ht="12.75"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8:26" ht="12.75"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8:26" ht="12.75"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8:26" ht="12.75"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8:26" ht="12.75"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8:26" ht="12.75"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8:26" ht="12.75"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8:26" ht="12.75"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8:26" ht="12.75"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8:26" ht="12.75"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8:26" ht="12.75"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8:26" ht="12.75"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8:26" ht="12.75"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8:26" ht="12.75"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8:26" ht="12.75"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8:26" ht="12.75"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8:26" ht="12.75"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8:26" ht="12.75"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8:26" ht="12.75"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8:26" ht="12.75"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8:26" ht="12.75"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8:26" ht="12.75"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8:26" ht="12.75"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8:26" ht="12.75"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8:26" ht="12.75">
      <c r="R167" s="24"/>
      <c r="S167" s="24"/>
      <c r="T167" s="24"/>
      <c r="U167" s="24"/>
      <c r="V167" s="24"/>
      <c r="W167" s="24"/>
      <c r="X167" s="24"/>
      <c r="Y167" s="24"/>
      <c r="Z167" s="24"/>
    </row>
  </sheetData>
  <sheetProtection password="CC65" sheet="1" objects="1" scenarios="1"/>
  <mergeCells count="18">
    <mergeCell ref="H5:I5"/>
    <mergeCell ref="A1:D1"/>
    <mergeCell ref="A2:D2"/>
    <mergeCell ref="A3:D3"/>
    <mergeCell ref="A4:D4"/>
    <mergeCell ref="C8:C9"/>
    <mergeCell ref="E8:E9"/>
    <mergeCell ref="A58:B59"/>
    <mergeCell ref="A5:B5"/>
    <mergeCell ref="C58:D59"/>
    <mergeCell ref="C60:D61"/>
    <mergeCell ref="A54:B55"/>
    <mergeCell ref="A52:B53"/>
    <mergeCell ref="A56:B57"/>
    <mergeCell ref="C52:D53"/>
    <mergeCell ref="C54:D55"/>
    <mergeCell ref="C56:D57"/>
    <mergeCell ref="A60:B61"/>
  </mergeCells>
  <conditionalFormatting sqref="D14">
    <cfRule type="cellIs" priority="1" dxfId="0" operator="notEqual" stopIfTrue="1">
      <formula>$B$14</formula>
    </cfRule>
  </conditionalFormatting>
  <conditionalFormatting sqref="D15">
    <cfRule type="cellIs" priority="2" dxfId="0" operator="notEqual" stopIfTrue="1">
      <formula>$B$15</formula>
    </cfRule>
  </conditionalFormatting>
  <conditionalFormatting sqref="D16:D21 D28">
    <cfRule type="cellIs" priority="3" dxfId="0" operator="notEqual" stopIfTrue="1">
      <formula>B16</formula>
    </cfRule>
  </conditionalFormatting>
  <conditionalFormatting sqref="D24">
    <cfRule type="cellIs" priority="4" dxfId="0" operator="notEqual" stopIfTrue="1">
      <formula>$B$24</formula>
    </cfRule>
  </conditionalFormatting>
  <conditionalFormatting sqref="D25">
    <cfRule type="cellIs" priority="5" dxfId="0" operator="notEqual" stopIfTrue="1">
      <formula>$B$25</formula>
    </cfRule>
  </conditionalFormatting>
  <conditionalFormatting sqref="D27">
    <cfRule type="cellIs" priority="6" dxfId="0" operator="notEqual" stopIfTrue="1">
      <formula>$B$27</formula>
    </cfRule>
  </conditionalFormatting>
  <conditionalFormatting sqref="D30">
    <cfRule type="cellIs" priority="7" dxfId="0" operator="notEqual" stopIfTrue="1">
      <formula>$B$30</formula>
    </cfRule>
  </conditionalFormatting>
  <conditionalFormatting sqref="D33">
    <cfRule type="cellIs" priority="8" dxfId="0" operator="notEqual" stopIfTrue="1">
      <formula>$B$33</formula>
    </cfRule>
  </conditionalFormatting>
  <conditionalFormatting sqref="D34">
    <cfRule type="cellIs" priority="9" dxfId="0" operator="notEqual" stopIfTrue="1">
      <formula>$B$34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Vet Med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rlarson</cp:lastModifiedBy>
  <dcterms:created xsi:type="dcterms:W3CDTF">2000-10-30T20:34:10Z</dcterms:created>
  <dcterms:modified xsi:type="dcterms:W3CDTF">2006-07-25T14:10:07Z</dcterms:modified>
  <cp:category/>
  <cp:version/>
  <cp:contentType/>
  <cp:contentStatus/>
</cp:coreProperties>
</file>